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20_Daten\"/>
    </mc:Choice>
  </mc:AlternateContent>
  <xr:revisionPtr revIDLastSave="0" documentId="13_ncr:1_{E419606D-4D67-4499-B6C3-9F4FF7A14685}" xr6:coauthVersionLast="44" xr6:coauthVersionMax="44" xr10:uidLastSave="{00000000-0000-0000-0000-000000000000}"/>
  <bookViews>
    <workbookView xWindow="1950" yWindow="1365" windowWidth="23520" windowHeight="14235" tabRatio="82" xr2:uid="{00000000-000D-0000-FFFF-FFFF00000000}"/>
  </bookViews>
  <sheets>
    <sheet name="Transform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" i="1" l="1"/>
  <c r="L6" i="1"/>
  <c r="I7" i="1"/>
  <c r="I6" i="1"/>
  <c r="C10" i="1"/>
  <c r="I5" i="1"/>
  <c r="D10" i="1"/>
  <c r="J7" i="1" s="1"/>
  <c r="J3" i="1"/>
  <c r="F10" i="1"/>
  <c r="K6" i="1"/>
  <c r="G10" i="1"/>
  <c r="K5" i="1"/>
  <c r="K7" i="1"/>
  <c r="L8" i="1"/>
  <c r="I8" i="1"/>
  <c r="K4" i="1"/>
  <c r="L4" i="1"/>
  <c r="I4" i="1"/>
  <c r="K3" i="1"/>
  <c r="K8" i="1"/>
  <c r="I3" i="1"/>
  <c r="L3" i="1"/>
  <c r="L5" i="1"/>
  <c r="I10" i="1"/>
  <c r="K10" i="1"/>
  <c r="L10" i="1"/>
  <c r="J5" i="1" l="1"/>
  <c r="J6" i="1"/>
  <c r="J8" i="1"/>
  <c r="J4" i="1"/>
  <c r="B14" i="1" l="1"/>
  <c r="B13" i="1"/>
  <c r="B12" i="1"/>
  <c r="J10" i="1"/>
  <c r="B15" i="1" l="1"/>
  <c r="B17" i="1" s="1"/>
  <c r="B16" i="1"/>
  <c r="G18" i="1"/>
  <c r="F18" i="1"/>
  <c r="B18" i="1"/>
  <c r="F23" i="1" l="1"/>
  <c r="N3" i="1"/>
  <c r="N6" i="1"/>
  <c r="N8" i="1"/>
  <c r="F22" i="1"/>
  <c r="N5" i="1"/>
  <c r="N4" i="1"/>
  <c r="N7" i="1"/>
  <c r="O8" i="1"/>
  <c r="O7" i="1"/>
  <c r="G23" i="1"/>
  <c r="G22" i="1"/>
  <c r="O4" i="1"/>
  <c r="O6" i="1"/>
  <c r="O5" i="1"/>
  <c r="O3" i="1"/>
  <c r="O10" i="1" s="1"/>
  <c r="Q7" i="1" l="1"/>
  <c r="R4" i="1"/>
  <c r="Q4" i="1"/>
  <c r="N10" i="1"/>
  <c r="R3" i="1"/>
  <c r="Q3" i="1"/>
  <c r="Q5" i="1"/>
  <c r="R5" i="1"/>
  <c r="R8" i="1"/>
  <c r="Q8" i="1"/>
  <c r="Q6" i="1"/>
  <c r="R10" i="1" l="1"/>
  <c r="Q10" i="1"/>
  <c r="T12" i="1" s="1"/>
</calcChain>
</file>

<file path=xl/sharedStrings.xml><?xml version="1.0" encoding="utf-8"?>
<sst xmlns="http://schemas.openxmlformats.org/spreadsheetml/2006/main" count="56" uniqueCount="46">
  <si>
    <t>Messungen</t>
  </si>
  <si>
    <t>Zwischenrechungen</t>
  </si>
  <si>
    <t>precision</t>
  </si>
  <si>
    <t>accuracy</t>
  </si>
  <si>
    <t>Punkt Nr.</t>
  </si>
  <si>
    <t>lokal Ost</t>
  </si>
  <si>
    <t>lokal Nord</t>
  </si>
  <si>
    <t>UTM east</t>
  </si>
  <si>
    <t>UTM north</t>
  </si>
  <si>
    <t>R-l-Ost</t>
  </si>
  <si>
    <t>R-l-Nord</t>
  </si>
  <si>
    <t>R-UTM-e</t>
  </si>
  <si>
    <t>R-UTM-n</t>
  </si>
  <si>
    <t>Strecke</t>
  </si>
  <si>
    <t>Mittelwert</t>
  </si>
  <si>
    <t>mean</t>
  </si>
  <si>
    <t>rms</t>
  </si>
  <si>
    <t>I</t>
  </si>
  <si>
    <t>II</t>
  </si>
  <si>
    <t>Vergleich</t>
  </si>
  <si>
    <t>III</t>
  </si>
  <si>
    <t>global</t>
  </si>
  <si>
    <t>a1</t>
  </si>
  <si>
    <t>zu</t>
  </si>
  <si>
    <t>b1</t>
  </si>
  <si>
    <t>geschätzt</t>
  </si>
  <si>
    <t>Skalierung</t>
  </si>
  <si>
    <t>Drehung</t>
  </si>
  <si>
    <t>Neu 1</t>
  </si>
  <si>
    <t>Neu 2</t>
  </si>
  <si>
    <t>local (true)</t>
  </si>
  <si>
    <t>beob. :</t>
  </si>
  <si>
    <t>"true" = lokales Netz</t>
  </si>
  <si>
    <t>(ggf. weitere Punkte umrechnen von lokal nach global:)</t>
  </si>
  <si>
    <t>links unten</t>
  </si>
  <si>
    <t>rechts unten</t>
  </si>
  <si>
    <t>links oben</t>
  </si>
  <si>
    <t>rechts oben</t>
  </si>
  <si>
    <t>Beschreibung</t>
  </si>
  <si>
    <t>Mitte unten</t>
  </si>
  <si>
    <t>Mitte oben</t>
  </si>
  <si>
    <t>„observed global“ GPS-gemessenes Netz</t>
  </si>
  <si>
    <t>geschätzt global</t>
  </si>
  <si>
    <t>weiße Felder = Eingabefelder</t>
  </si>
  <si>
    <t>grau hinterlegt = Zwischenrechungen</t>
  </si>
  <si>
    <t>grün hinterlegt = Ergebnisfelder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</si>
</sst>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0.000"/>
    <numFmt numFmtId="166" formatCode="#,##0.0000"/>
    <numFmt numFmtId="167" formatCode="0.0"/>
    <numFmt numFmtId="168" formatCode="0.000000"/>
    <numFmt numFmtId="169" formatCode="0.0000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0" tint="-0.34998626667073579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10"/>
      <color indexed="14"/>
      <name val="Calibri"/>
      <family val="2"/>
      <scheme val="minor"/>
    </font>
    <font>
      <b/>
      <i/>
      <sz val="10"/>
      <color indexed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49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65">
    <xf numFmtId="0" fontId="0" fillId="0" borderId="0" xfId="0"/>
    <xf numFmtId="0" fontId="0" fillId="0" borderId="0" xfId="0" applyBorder="1"/>
    <xf numFmtId="2" fontId="2" fillId="0" borderId="0" xfId="1" applyNumberFormat="1" applyFont="1"/>
    <xf numFmtId="0" fontId="3" fillId="0" borderId="0" xfId="0" applyFont="1" applyBorder="1"/>
    <xf numFmtId="0" fontId="4" fillId="0" borderId="0" xfId="0" applyFont="1" applyBorder="1"/>
    <xf numFmtId="165" fontId="2" fillId="2" borderId="0" xfId="0" applyNumberFormat="1" applyFont="1" applyFill="1" applyBorder="1"/>
    <xf numFmtId="165" fontId="3" fillId="2" borderId="0" xfId="0" applyNumberFormat="1" applyFont="1" applyFill="1" applyBorder="1"/>
    <xf numFmtId="165" fontId="3" fillId="0" borderId="0" xfId="0" applyNumberFormat="1" applyFont="1" applyFill="1" applyBorder="1"/>
    <xf numFmtId="165" fontId="4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4" fontId="5" fillId="0" borderId="0" xfId="0" applyNumberFormat="1" applyFont="1" applyBorder="1"/>
    <xf numFmtId="4" fontId="7" fillId="0" borderId="0" xfId="0" applyNumberFormat="1" applyFont="1" applyFill="1" applyBorder="1" applyAlignment="1" applyProtection="1"/>
    <xf numFmtId="2" fontId="5" fillId="0" borderId="0" xfId="0" applyNumberFormat="1" applyFont="1" applyBorder="1"/>
    <xf numFmtId="164" fontId="3" fillId="0" borderId="0" xfId="0" applyNumberFormat="1" applyFont="1" applyFill="1" applyBorder="1" applyAlignment="1" applyProtection="1"/>
    <xf numFmtId="165" fontId="7" fillId="2" borderId="0" xfId="0" applyNumberFormat="1" applyFont="1" applyFill="1" applyBorder="1"/>
    <xf numFmtId="165" fontId="7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164" fontId="10" fillId="0" borderId="0" xfId="0" applyNumberFormat="1" applyFont="1" applyAlignment="1">
      <alignment horizontal="right"/>
    </xf>
    <xf numFmtId="4" fontId="3" fillId="0" borderId="0" xfId="0" applyNumberFormat="1" applyFont="1" applyBorder="1"/>
    <xf numFmtId="4" fontId="10" fillId="0" borderId="0" xfId="0" applyNumberFormat="1" applyFont="1" applyAlignment="1">
      <alignment horizontal="right"/>
    </xf>
    <xf numFmtId="2" fontId="3" fillId="2" borderId="0" xfId="0" applyNumberFormat="1" applyFont="1" applyFill="1" applyBorder="1"/>
    <xf numFmtId="2" fontId="3" fillId="0" borderId="0" xfId="0" applyNumberFormat="1" applyFont="1" applyFill="1" applyBorder="1"/>
    <xf numFmtId="4" fontId="3" fillId="3" borderId="0" xfId="0" applyNumberFormat="1" applyFont="1" applyFill="1" applyBorder="1"/>
    <xf numFmtId="2" fontId="8" fillId="2" borderId="0" xfId="0" applyNumberFormat="1" applyFont="1" applyFill="1" applyBorder="1"/>
    <xf numFmtId="2" fontId="3" fillId="0" borderId="0" xfId="0" applyNumberFormat="1" applyFont="1" applyBorder="1"/>
    <xf numFmtId="2" fontId="8" fillId="0" borderId="0" xfId="0" applyNumberFormat="1" applyFont="1" applyBorder="1"/>
    <xf numFmtId="0" fontId="10" fillId="2" borderId="0" xfId="0" applyFont="1" applyFill="1" applyBorder="1"/>
    <xf numFmtId="164" fontId="3" fillId="2" borderId="0" xfId="0" applyNumberFormat="1" applyFont="1" applyFill="1" applyBorder="1"/>
    <xf numFmtId="164" fontId="3" fillId="0" borderId="0" xfId="0" applyNumberFormat="1" applyFont="1" applyBorder="1"/>
    <xf numFmtId="2" fontId="2" fillId="3" borderId="0" xfId="0" applyNumberFormat="1" applyFont="1" applyFill="1" applyBorder="1"/>
    <xf numFmtId="2" fontId="11" fillId="3" borderId="0" xfId="0" applyNumberFormat="1" applyFont="1" applyFill="1" applyBorder="1"/>
    <xf numFmtId="0" fontId="10" fillId="0" borderId="0" xfId="0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7" fontId="3" fillId="2" borderId="0" xfId="0" applyNumberFormat="1" applyFont="1" applyFill="1" applyBorder="1"/>
    <xf numFmtId="168" fontId="3" fillId="2" borderId="0" xfId="0" applyNumberFormat="1" applyFont="1" applyFill="1" applyBorder="1"/>
    <xf numFmtId="0" fontId="9" fillId="0" borderId="0" xfId="0" applyFont="1" applyFill="1" applyBorder="1"/>
    <xf numFmtId="168" fontId="3" fillId="3" borderId="0" xfId="0" applyNumberFormat="1" applyFont="1" applyFill="1" applyBorder="1"/>
    <xf numFmtId="0" fontId="3" fillId="0" borderId="0" xfId="0" applyFont="1" applyFill="1" applyBorder="1"/>
    <xf numFmtId="169" fontId="3" fillId="3" borderId="0" xfId="0" applyNumberFormat="1" applyFont="1" applyFill="1" applyBorder="1"/>
    <xf numFmtId="0" fontId="3" fillId="3" borderId="0" xfId="0" applyFont="1" applyFill="1" applyBorder="1"/>
    <xf numFmtId="0" fontId="3" fillId="5" borderId="0" xfId="0" applyFont="1" applyFill="1" applyBorder="1"/>
    <xf numFmtId="164" fontId="3" fillId="3" borderId="0" xfId="0" applyNumberFormat="1" applyFont="1" applyFill="1" applyBorder="1"/>
    <xf numFmtId="4" fontId="3" fillId="0" borderId="0" xfId="0" applyNumberFormat="1" applyFont="1" applyFill="1" applyBorder="1" applyAlignment="1" applyProtection="1"/>
    <xf numFmtId="0" fontId="2" fillId="0" borderId="0" xfId="0" applyFont="1" applyBorder="1"/>
    <xf numFmtId="0" fontId="3" fillId="0" borderId="0" xfId="0" applyFont="1"/>
    <xf numFmtId="0" fontId="12" fillId="0" borderId="0" xfId="0" applyFont="1" applyFill="1" applyBorder="1"/>
    <xf numFmtId="0" fontId="12" fillId="0" borderId="0" xfId="0" applyFont="1" applyBorder="1"/>
    <xf numFmtId="0" fontId="13" fillId="0" borderId="0" xfId="0" applyFont="1" applyFill="1" applyBorder="1" applyAlignment="1">
      <alignment horizontal="center"/>
    </xf>
    <xf numFmtId="166" fontId="10" fillId="0" borderId="0" xfId="0" applyNumberFormat="1" applyFont="1" applyAlignment="1">
      <alignment horizontal="right"/>
    </xf>
    <xf numFmtId="2" fontId="12" fillId="0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4" borderId="4" xfId="0" applyFont="1" applyFill="1" applyBorder="1"/>
    <xf numFmtId="0" fontId="3" fillId="4" borderId="0" xfId="0" applyFont="1" applyFill="1" applyBorder="1"/>
    <xf numFmtId="0" fontId="3" fillId="4" borderId="8" xfId="0" applyFont="1" applyFill="1" applyBorder="1"/>
    <xf numFmtId="0" fontId="3" fillId="6" borderId="5" xfId="0" applyFont="1" applyFill="1" applyBorder="1"/>
    <xf numFmtId="0" fontId="3" fillId="6" borderId="6" xfId="0" applyFont="1" applyFill="1" applyBorder="1"/>
    <xf numFmtId="0" fontId="3" fillId="6" borderId="7" xfId="0" applyFont="1" applyFill="1" applyBorder="1"/>
  </cellXfs>
  <cellStyles count="3">
    <cellStyle name="Komma" xfId="1" builtinId="3"/>
    <cellStyle name="Standard" xfId="0" builtinId="0"/>
    <cellStyle name="Währung0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DEB3D"/>
      <rgbColor rgb="000000FF"/>
      <rgbColor rgb="00E6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workbookViewId="0">
      <selection activeCell="D4" sqref="D4"/>
    </sheetView>
  </sheetViews>
  <sheetFormatPr baseColWidth="10" defaultColWidth="9.140625" defaultRowHeight="12.75" x14ac:dyDescent="0.2"/>
  <cols>
    <col min="1" max="1" width="11" style="1" customWidth="1"/>
    <col min="2" max="3" width="13.42578125" style="1" customWidth="1"/>
    <col min="4" max="4" width="16.140625" style="1" customWidth="1"/>
    <col min="5" max="5" width="6" style="1" customWidth="1"/>
    <col min="6" max="6" width="11" style="1" customWidth="1"/>
    <col min="7" max="7" width="16" style="1" customWidth="1"/>
    <col min="8" max="8" width="5.5703125" style="1" customWidth="1"/>
    <col min="9" max="12" width="9.140625" style="1"/>
    <col min="13" max="13" width="5.42578125" style="1" customWidth="1"/>
    <col min="14" max="14" width="12.85546875" style="1" customWidth="1"/>
    <col min="15" max="15" width="18.7109375" style="1" customWidth="1"/>
    <col min="16" max="16" width="6.42578125" style="1" customWidth="1"/>
    <col min="17" max="17" width="9.140625" style="1"/>
    <col min="18" max="18" width="10.5703125" style="1" bestFit="1" customWidth="1"/>
    <col min="19" max="16384" width="9.140625" style="1"/>
  </cols>
  <sheetData>
    <row r="1" spans="1:21" x14ac:dyDescent="0.2">
      <c r="A1" s="2" t="s">
        <v>0</v>
      </c>
      <c r="B1" s="3"/>
      <c r="C1" s="4" t="s">
        <v>32</v>
      </c>
      <c r="D1" s="3"/>
      <c r="E1" s="3"/>
      <c r="F1" s="4" t="s">
        <v>41</v>
      </c>
      <c r="G1" s="3"/>
      <c r="H1" s="3"/>
      <c r="I1" s="5" t="s">
        <v>1</v>
      </c>
      <c r="J1" s="6"/>
      <c r="K1" s="6"/>
      <c r="L1" s="6"/>
      <c r="M1" s="7"/>
      <c r="N1" s="8" t="s">
        <v>42</v>
      </c>
      <c r="O1" s="7"/>
      <c r="P1" s="3"/>
      <c r="Q1" s="9" t="s">
        <v>2</v>
      </c>
      <c r="R1" s="10" t="s">
        <v>3</v>
      </c>
      <c r="S1" s="3"/>
      <c r="T1" s="3"/>
      <c r="U1" s="3"/>
    </row>
    <row r="2" spans="1:21" x14ac:dyDescent="0.2">
      <c r="A2" s="11" t="s">
        <v>4</v>
      </c>
      <c r="B2" s="12" t="s">
        <v>38</v>
      </c>
      <c r="C2" s="13" t="s">
        <v>5</v>
      </c>
      <c r="D2" s="13" t="s">
        <v>6</v>
      </c>
      <c r="E2" s="14"/>
      <c r="F2" s="13" t="s">
        <v>7</v>
      </c>
      <c r="G2" s="13" t="s">
        <v>8</v>
      </c>
      <c r="H2" s="3"/>
      <c r="I2" s="15" t="s">
        <v>9</v>
      </c>
      <c r="J2" s="15" t="s">
        <v>10</v>
      </c>
      <c r="K2" s="15" t="s">
        <v>11</v>
      </c>
      <c r="L2" s="15" t="s">
        <v>12</v>
      </c>
      <c r="M2" s="16"/>
      <c r="N2" s="16"/>
      <c r="O2" s="16"/>
      <c r="P2" s="3"/>
      <c r="Q2" s="17" t="s">
        <v>13</v>
      </c>
      <c r="R2" s="18"/>
      <c r="S2" s="3"/>
      <c r="T2" s="3"/>
      <c r="U2" s="3"/>
    </row>
    <row r="3" spans="1:21" x14ac:dyDescent="0.2">
      <c r="A3" s="19">
        <v>1</v>
      </c>
      <c r="B3" s="20" t="s">
        <v>34</v>
      </c>
      <c r="C3" s="21">
        <v>100</v>
      </c>
      <c r="D3" s="21">
        <v>500</v>
      </c>
      <c r="E3" s="22"/>
      <c r="F3" s="23">
        <v>1009.15</v>
      </c>
      <c r="G3" s="23">
        <v>2000.85</v>
      </c>
      <c r="H3" s="3"/>
      <c r="I3" s="24">
        <f t="shared" ref="I3:J8" si="0">(C3-C$10)</f>
        <v>-8.3333333333333286</v>
      </c>
      <c r="J3" s="24">
        <f t="shared" si="0"/>
        <v>-3.6666666666666856</v>
      </c>
      <c r="K3" s="24">
        <f t="shared" ref="K3:L8" si="1">(F3-F$10)</f>
        <v>-5.3833333333333258</v>
      </c>
      <c r="L3" s="24">
        <f t="shared" si="1"/>
        <v>-7.8250000000000455</v>
      </c>
      <c r="M3" s="25"/>
      <c r="N3" s="26">
        <f t="shared" ref="N3:N8" si="2">+(F$18+B$15*C3-B$16*D3)</f>
        <v>1009.0793877551021</v>
      </c>
      <c r="O3" s="26">
        <f t="shared" ref="O3:O8" si="3">+(G$18+B$16*C3+B$15*D3)</f>
        <v>2001.1101020408162</v>
      </c>
      <c r="P3" s="7"/>
      <c r="Q3" s="24">
        <f t="shared" ref="Q3:Q8" si="4">+SQRT(((F3-N3)*(F3-N3))+((G3-O3)*(G3-O3)))</f>
        <v>0.26951653152693378</v>
      </c>
      <c r="R3" s="27">
        <f t="shared" ref="R3:R8" si="5">((C3-N3)*(C3-N3))+((D3-O3)*(D3-O3))</f>
        <v>3079756.8716901806</v>
      </c>
      <c r="S3" s="3"/>
      <c r="T3" s="3"/>
      <c r="U3" s="3"/>
    </row>
    <row r="4" spans="1:21" x14ac:dyDescent="0.2">
      <c r="A4" s="19">
        <v>2</v>
      </c>
      <c r="B4" s="20" t="s">
        <v>35</v>
      </c>
      <c r="C4" s="21">
        <v>100</v>
      </c>
      <c r="D4" s="21">
        <v>505</v>
      </c>
      <c r="E4" s="22"/>
      <c r="F4" s="23">
        <v>1006.7</v>
      </c>
      <c r="G4" s="23">
        <v>2005.8</v>
      </c>
      <c r="H4" s="3"/>
      <c r="I4" s="24">
        <f t="shared" si="0"/>
        <v>-8.3333333333333286</v>
      </c>
      <c r="J4" s="24">
        <f t="shared" si="0"/>
        <v>1.3333333333333144</v>
      </c>
      <c r="K4" s="24">
        <f t="shared" si="1"/>
        <v>-7.8333333333332575</v>
      </c>
      <c r="L4" s="24">
        <f t="shared" si="1"/>
        <v>-2.875</v>
      </c>
      <c r="M4" s="25"/>
      <c r="N4" s="26">
        <f t="shared" si="2"/>
        <v>1006.4829591836734</v>
      </c>
      <c r="O4" s="26">
        <f t="shared" si="3"/>
        <v>2005.5248979591834</v>
      </c>
      <c r="P4" s="7"/>
      <c r="Q4" s="24">
        <f t="shared" si="4"/>
        <v>0.35041097130823906</v>
      </c>
      <c r="R4" s="27">
        <f t="shared" si="5"/>
        <v>3073286.3246858069</v>
      </c>
      <c r="S4" s="3"/>
      <c r="T4" s="3"/>
      <c r="U4" s="3"/>
    </row>
    <row r="5" spans="1:21" x14ac:dyDescent="0.2">
      <c r="A5" s="19">
        <v>3</v>
      </c>
      <c r="B5" s="20" t="s">
        <v>37</v>
      </c>
      <c r="C5" s="21">
        <v>110</v>
      </c>
      <c r="D5" s="21">
        <v>500</v>
      </c>
      <c r="E5" s="22"/>
      <c r="F5" s="23">
        <v>1017.35</v>
      </c>
      <c r="G5" s="23">
        <v>2006.2</v>
      </c>
      <c r="H5" s="3"/>
      <c r="I5" s="24">
        <f t="shared" si="0"/>
        <v>1.6666666666666714</v>
      </c>
      <c r="J5" s="24">
        <f t="shared" si="0"/>
        <v>-3.6666666666666856</v>
      </c>
      <c r="K5" s="24">
        <f t="shared" si="1"/>
        <v>2.8166666666667197</v>
      </c>
      <c r="L5" s="24">
        <f t="shared" si="1"/>
        <v>-2.4749999999999091</v>
      </c>
      <c r="M5" s="25"/>
      <c r="N5" s="26">
        <f t="shared" si="2"/>
        <v>1017.9089795918367</v>
      </c>
      <c r="O5" s="26">
        <f t="shared" si="3"/>
        <v>2006.3029591836735</v>
      </c>
      <c r="P5" s="7"/>
      <c r="Q5" s="24">
        <f t="shared" si="4"/>
        <v>0.56838259789736756</v>
      </c>
      <c r="R5" s="27">
        <f t="shared" si="5"/>
        <v>3093247.3200689815</v>
      </c>
      <c r="S5" s="3"/>
      <c r="T5" s="3"/>
      <c r="U5" s="3"/>
    </row>
    <row r="6" spans="1:21" x14ac:dyDescent="0.2">
      <c r="A6" s="19">
        <v>4</v>
      </c>
      <c r="B6" s="20" t="s">
        <v>36</v>
      </c>
      <c r="C6" s="21">
        <v>115</v>
      </c>
      <c r="D6" s="21">
        <v>500</v>
      </c>
      <c r="E6" s="22"/>
      <c r="F6" s="23">
        <v>1022.4</v>
      </c>
      <c r="G6" s="23">
        <v>2008.7</v>
      </c>
      <c r="H6" s="3"/>
      <c r="I6" s="24">
        <f t="shared" si="0"/>
        <v>6.6666666666666714</v>
      </c>
      <c r="J6" s="24">
        <f t="shared" si="0"/>
        <v>-3.6666666666666856</v>
      </c>
      <c r="K6" s="24">
        <f t="shared" si="1"/>
        <v>7.8666666666666742</v>
      </c>
      <c r="L6" s="24">
        <f t="shared" si="1"/>
        <v>2.5000000000090949E-2</v>
      </c>
      <c r="M6" s="25"/>
      <c r="N6" s="26">
        <f t="shared" si="2"/>
        <v>1022.3237755102041</v>
      </c>
      <c r="O6" s="26">
        <f t="shared" si="3"/>
        <v>2008.899387755102</v>
      </c>
      <c r="P6" s="7"/>
      <c r="Q6" s="24">
        <f t="shared" si="4"/>
        <v>0.21346111994749761</v>
      </c>
      <c r="R6" s="27"/>
      <c r="S6" s="3"/>
      <c r="T6" s="3"/>
      <c r="U6" s="3"/>
    </row>
    <row r="7" spans="1:21" x14ac:dyDescent="0.2">
      <c r="A7" s="19">
        <v>5</v>
      </c>
      <c r="B7" s="20" t="s">
        <v>39</v>
      </c>
      <c r="C7" s="21">
        <v>110</v>
      </c>
      <c r="D7" s="21">
        <v>510</v>
      </c>
      <c r="E7" s="22"/>
      <c r="F7" s="23">
        <v>1012.8</v>
      </c>
      <c r="G7" s="23">
        <v>2014.65</v>
      </c>
      <c r="H7" s="3"/>
      <c r="I7" s="24">
        <f t="shared" si="0"/>
        <v>1.6666666666666714</v>
      </c>
      <c r="J7" s="24">
        <f t="shared" si="0"/>
        <v>6.3333333333333144</v>
      </c>
      <c r="K7" s="24">
        <f t="shared" si="1"/>
        <v>-1.7333333333333485</v>
      </c>
      <c r="L7" s="24">
        <f t="shared" si="1"/>
        <v>5.9750000000001364</v>
      </c>
      <c r="M7" s="25"/>
      <c r="N7" s="26">
        <f t="shared" si="2"/>
        <v>1012.7161224489794</v>
      </c>
      <c r="O7" s="26">
        <f t="shared" si="3"/>
        <v>2015.1325510204081</v>
      </c>
      <c r="P7" s="7"/>
      <c r="Q7" s="24">
        <f t="shared" si="4"/>
        <v>0.48978661768365439</v>
      </c>
      <c r="R7" s="27"/>
      <c r="S7" s="3"/>
      <c r="T7" s="3"/>
      <c r="U7" s="3"/>
    </row>
    <row r="8" spans="1:21" x14ac:dyDescent="0.2">
      <c r="A8" s="19">
        <v>6</v>
      </c>
      <c r="B8" s="20" t="s">
        <v>40</v>
      </c>
      <c r="C8" s="21">
        <v>115</v>
      </c>
      <c r="D8" s="21">
        <v>507</v>
      </c>
      <c r="E8" s="22"/>
      <c r="F8" s="23">
        <v>1018.8</v>
      </c>
      <c r="G8" s="23">
        <v>2015.85</v>
      </c>
      <c r="H8" s="3"/>
      <c r="I8" s="24">
        <f t="shared" si="0"/>
        <v>6.6666666666666714</v>
      </c>
      <c r="J8" s="24">
        <f t="shared" si="0"/>
        <v>3.3333333333333144</v>
      </c>
      <c r="K8" s="24">
        <f t="shared" si="1"/>
        <v>4.2666666666666515</v>
      </c>
      <c r="L8" s="24">
        <f t="shared" si="1"/>
        <v>7.1749999999999545</v>
      </c>
      <c r="M8" s="25"/>
      <c r="N8" s="26">
        <f t="shared" si="2"/>
        <v>1018.688775510204</v>
      </c>
      <c r="O8" s="26">
        <f t="shared" si="3"/>
        <v>2015.0801020408162</v>
      </c>
      <c r="P8" s="3"/>
      <c r="Q8" s="24">
        <f t="shared" si="4"/>
        <v>0.77789058014968537</v>
      </c>
      <c r="R8" s="27">
        <f t="shared" si="5"/>
        <v>3090958.9971545707</v>
      </c>
      <c r="S8" s="3"/>
      <c r="T8" s="3"/>
      <c r="U8" s="3"/>
    </row>
    <row r="9" spans="1:21" x14ac:dyDescent="0.2">
      <c r="A9" s="3"/>
      <c r="B9" s="3"/>
      <c r="C9" s="3"/>
      <c r="D9" s="3"/>
      <c r="E9" s="3"/>
      <c r="F9" s="3"/>
      <c r="G9" s="3"/>
      <c r="H9" s="3"/>
      <c r="I9" s="25"/>
      <c r="J9" s="25"/>
      <c r="K9" s="25"/>
      <c r="L9" s="25"/>
      <c r="M9" s="25"/>
      <c r="N9" s="25"/>
      <c r="O9" s="25"/>
      <c r="P9" s="3"/>
      <c r="Q9" s="28"/>
      <c r="R9" s="29"/>
      <c r="S9" s="3"/>
      <c r="T9" s="3"/>
      <c r="U9" s="3"/>
    </row>
    <row r="10" spans="1:21" x14ac:dyDescent="0.2">
      <c r="A10" s="30" t="s">
        <v>14</v>
      </c>
      <c r="B10" s="3"/>
      <c r="C10" s="31">
        <f>AVERAGE(C3:C8)</f>
        <v>108.33333333333333</v>
      </c>
      <c r="D10" s="31">
        <f>AVERAGE(D3:D8)</f>
        <v>503.66666666666669</v>
      </c>
      <c r="E10" s="32"/>
      <c r="F10" s="31">
        <f>AVERAGE(F3:F8)</f>
        <v>1014.5333333333333</v>
      </c>
      <c r="G10" s="31">
        <f>AVERAGE(G3:G8)</f>
        <v>2008.675</v>
      </c>
      <c r="H10" s="3"/>
      <c r="I10" s="24">
        <f>AVERAGE(I3:I8)</f>
        <v>4.736951571734001E-15</v>
      </c>
      <c r="J10" s="24">
        <f>AVERAGE(J3:J8)</f>
        <v>-1.8947806286936004E-14</v>
      </c>
      <c r="K10" s="24">
        <f>AVERAGE(K3:K8)</f>
        <v>1.8947806286936004E-14</v>
      </c>
      <c r="L10" s="24">
        <f>AVERAGE(L3:L8)</f>
        <v>3.7895612573872008E-14</v>
      </c>
      <c r="M10" s="25"/>
      <c r="N10" s="24">
        <f>AVERAGE(N3:N8)</f>
        <v>1014.5333333333333</v>
      </c>
      <c r="O10" s="24">
        <f>AVERAGE(O3:O8)</f>
        <v>2008.675</v>
      </c>
      <c r="P10" s="3"/>
      <c r="Q10" s="33">
        <f>AVERAGE(Q3:Q8)</f>
        <v>0.44490806975222963</v>
      </c>
      <c r="R10" s="34">
        <f>+SQRT(SUM(R3:R8)/COUNT(R3:R8))</f>
        <v>1756.2210505514063</v>
      </c>
      <c r="S10" s="3"/>
      <c r="T10" s="3"/>
      <c r="U10" s="3"/>
    </row>
    <row r="11" spans="1:21" x14ac:dyDescent="0.2">
      <c r="A11" s="3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6" t="s">
        <v>15</v>
      </c>
      <c r="R11" s="37" t="s">
        <v>16</v>
      </c>
      <c r="S11" s="3"/>
      <c r="T11" s="3"/>
      <c r="U11" s="3"/>
    </row>
    <row r="12" spans="1:21" x14ac:dyDescent="0.2">
      <c r="A12" s="30" t="s">
        <v>17</v>
      </c>
      <c r="B12" s="38">
        <f>SUMSQ(I3:I8,J3:J8)</f>
        <v>326.66666666666663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8"/>
      <c r="R12" s="18"/>
      <c r="S12" s="3"/>
      <c r="T12" s="28">
        <f>+SQRT((Q10*Q10)+(Q12*Q12))</f>
        <v>0.44490806975222963</v>
      </c>
      <c r="U12" s="3"/>
    </row>
    <row r="13" spans="1:21" x14ac:dyDescent="0.2">
      <c r="A13" s="30" t="s">
        <v>18</v>
      </c>
      <c r="B13" s="38">
        <f>SUMPRODUCT(I3:I8,K3:K8)+SUMPRODUCT(J3:J8,L3:L8)</f>
        <v>288.43333333333283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 t="s">
        <v>19</v>
      </c>
      <c r="R13" s="18" t="s">
        <v>19</v>
      </c>
      <c r="S13" s="3"/>
      <c r="T13" s="3"/>
      <c r="U13" s="3"/>
    </row>
    <row r="14" spans="1:21" x14ac:dyDescent="0.2">
      <c r="A14" s="30" t="s">
        <v>20</v>
      </c>
      <c r="B14" s="38">
        <f>SUMPRODUCT(I3:I8,L3:L8)-SUMPRODUCT(J3:J8,K3:K8)</f>
        <v>169.63333333333469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 t="s">
        <v>21</v>
      </c>
      <c r="R14" s="18" t="s">
        <v>30</v>
      </c>
      <c r="S14" s="3"/>
      <c r="T14" s="3"/>
      <c r="U14" s="3"/>
    </row>
    <row r="15" spans="1:21" x14ac:dyDescent="0.2">
      <c r="A15" s="30" t="s">
        <v>22</v>
      </c>
      <c r="B15" s="39">
        <f>+(B13/B12)</f>
        <v>0.88295918367346793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 t="s">
        <v>31</v>
      </c>
      <c r="R15" s="18" t="s">
        <v>23</v>
      </c>
      <c r="S15" s="3"/>
      <c r="T15" s="3"/>
      <c r="U15" s="3"/>
    </row>
    <row r="16" spans="1:21" x14ac:dyDescent="0.2">
      <c r="A16" s="30" t="s">
        <v>24</v>
      </c>
      <c r="B16" s="39">
        <f>+(B14/B12)</f>
        <v>0.51928571428571846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 t="s">
        <v>25</v>
      </c>
      <c r="R16" s="18" t="s">
        <v>25</v>
      </c>
      <c r="S16" s="3"/>
      <c r="T16" s="3"/>
      <c r="U16" s="3"/>
    </row>
    <row r="17" spans="1:21" x14ac:dyDescent="0.2">
      <c r="A17" s="40" t="s">
        <v>26</v>
      </c>
      <c r="B17" s="41">
        <f>SQRT(SUMX2PY2(B15,B16))</f>
        <v>1.0243410433515518</v>
      </c>
      <c r="C17" s="13" t="s">
        <v>5</v>
      </c>
      <c r="D17" s="13" t="s">
        <v>6</v>
      </c>
      <c r="E17" s="3"/>
      <c r="F17" s="13" t="s">
        <v>7</v>
      </c>
      <c r="G17" s="13" t="s">
        <v>8</v>
      </c>
      <c r="H17" s="3"/>
      <c r="I17" s="3"/>
      <c r="J17" s="3"/>
      <c r="K17" s="3"/>
      <c r="L17" s="3"/>
      <c r="M17" s="3"/>
      <c r="N17" s="3"/>
      <c r="O17" s="3"/>
      <c r="P17" s="3"/>
      <c r="Q17" s="42"/>
      <c r="R17" s="18"/>
      <c r="S17" s="3"/>
      <c r="T17" s="3"/>
      <c r="U17" s="3"/>
    </row>
    <row r="18" spans="1:21" x14ac:dyDescent="0.2">
      <c r="A18" s="40" t="s">
        <v>27</v>
      </c>
      <c r="B18" s="43">
        <f>DEGREES(ATAN((B16/B15)))</f>
        <v>30.460625361251271</v>
      </c>
      <c r="C18" s="44">
        <v>0</v>
      </c>
      <c r="D18" s="45">
        <v>0</v>
      </c>
      <c r="E18" s="44"/>
      <c r="F18" s="46">
        <f>+(F$10-B$15*C$10+B$16*D$10)</f>
        <v>1180.4263265306145</v>
      </c>
      <c r="G18" s="46">
        <f>+(G$10-B$15*D$10-B$16*C$10)</f>
        <v>1507.7019387755104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11"/>
      <c r="B19" s="47"/>
      <c r="C19" s="13"/>
      <c r="D19" s="13"/>
      <c r="E19" s="14"/>
      <c r="F19" s="13"/>
      <c r="G19" s="13"/>
      <c r="H19" s="3"/>
      <c r="I19" s="4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48" t="s">
        <v>33</v>
      </c>
      <c r="B20" s="3"/>
      <c r="C20" s="3"/>
      <c r="D20" s="3"/>
      <c r="E20" s="3"/>
      <c r="F20" s="49"/>
      <c r="G20" s="49"/>
      <c r="H20" s="3"/>
      <c r="I20" s="50"/>
      <c r="J20" s="51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3"/>
      <c r="B21" s="3"/>
      <c r="C21" s="13" t="s">
        <v>5</v>
      </c>
      <c r="D21" s="13" t="s">
        <v>6</v>
      </c>
      <c r="E21" s="3"/>
      <c r="F21" s="13" t="s">
        <v>7</v>
      </c>
      <c r="G21" s="13" t="s">
        <v>8</v>
      </c>
      <c r="H21" s="3"/>
      <c r="I21" s="52"/>
      <c r="J21" s="51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3" t="s">
        <v>28</v>
      </c>
      <c r="B22" s="3"/>
      <c r="C22" s="53">
        <v>120</v>
      </c>
      <c r="D22" s="53">
        <v>100</v>
      </c>
      <c r="E22" s="3"/>
      <c r="F22" s="26">
        <f>+(F$18+B$15*C22-B$16*D22)</f>
        <v>1234.4528571428589</v>
      </c>
      <c r="G22" s="26">
        <f>+(G$18+B$16*C22+B$15*D22)</f>
        <v>1658.3121428571433</v>
      </c>
      <c r="H22" s="3"/>
      <c r="I22" s="54"/>
      <c r="J22" s="5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3" t="s">
        <v>29</v>
      </c>
      <c r="B23" s="3"/>
      <c r="C23" s="53">
        <v>120</v>
      </c>
      <c r="D23" s="53">
        <v>130</v>
      </c>
      <c r="E23" s="3"/>
      <c r="F23" s="26">
        <f>+(F$18+B$15*C23-B$16*D23)</f>
        <v>1218.8742857142872</v>
      </c>
      <c r="G23" s="26">
        <f>+(G$18+B$16*C23+B$15*D23)</f>
        <v>1684.8009183673473</v>
      </c>
      <c r="H23" s="3"/>
      <c r="I23" s="54"/>
      <c r="J23" s="5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3"/>
      <c r="B24" s="3"/>
      <c r="C24" s="3"/>
      <c r="D24" s="3"/>
      <c r="E24" s="3"/>
      <c r="F24" s="3"/>
      <c r="G24" s="3"/>
      <c r="H24" s="55"/>
      <c r="I24" s="51"/>
      <c r="J24" s="51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56" t="s">
        <v>43</v>
      </c>
      <c r="B27" s="57"/>
      <c r="C27" s="58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59" t="s">
        <v>44</v>
      </c>
      <c r="B28" s="60"/>
      <c r="C28" s="6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62" t="s">
        <v>45</v>
      </c>
      <c r="B29" s="63"/>
      <c r="C29" s="6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</sheetData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Transformation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FSiegmund</dc:creator>
  <cp:lastModifiedBy>Frank Siegmund</cp:lastModifiedBy>
  <dcterms:created xsi:type="dcterms:W3CDTF">2016-03-06T06:59:04Z</dcterms:created>
  <dcterms:modified xsi:type="dcterms:W3CDTF">2020-01-26T14:20:36Z</dcterms:modified>
</cp:coreProperties>
</file>