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19_Daten\"/>
    </mc:Choice>
  </mc:AlternateContent>
  <xr:revisionPtr revIDLastSave="0" documentId="8_{7515C8A0-6E33-4C28-8F71-616FB613E152}" xr6:coauthVersionLast="44" xr6:coauthVersionMax="44" xr10:uidLastSave="{00000000-0000-0000-0000-000000000000}"/>
  <bookViews>
    <workbookView xWindow="1950" yWindow="1365" windowWidth="23520" windowHeight="14235"/>
  </bookViews>
  <sheets>
    <sheet name="Poisson" sheetId="1" r:id="rId1"/>
    <sheet name="Binomial" sheetId="2" r:id="rId2"/>
    <sheet name="NegBino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2" l="1"/>
  <c r="J17" i="2"/>
  <c r="J16" i="2"/>
  <c r="G3" i="3"/>
  <c r="J1" i="3"/>
  <c r="E2" i="1"/>
  <c r="E8" i="1"/>
  <c r="E1" i="1"/>
  <c r="E3" i="1"/>
  <c r="J2" i="2"/>
  <c r="J8" i="2"/>
  <c r="J3" i="2"/>
  <c r="E4" i="2"/>
  <c r="G4" i="2"/>
  <c r="J4" i="2"/>
  <c r="J10" i="2"/>
  <c r="E5" i="2"/>
  <c r="G5" i="2"/>
  <c r="E6" i="2"/>
  <c r="G6" i="2"/>
  <c r="E7" i="2"/>
  <c r="G7" i="2"/>
  <c r="E8" i="2"/>
  <c r="G8" i="2"/>
  <c r="E9" i="2"/>
  <c r="G9" i="2"/>
  <c r="E10" i="2"/>
  <c r="G10" i="2"/>
  <c r="E11" i="2"/>
  <c r="G11" i="2"/>
  <c r="E12" i="2"/>
  <c r="G12" i="2"/>
  <c r="E13" i="2"/>
  <c r="G13" i="2"/>
  <c r="E14" i="2"/>
  <c r="G14" i="2"/>
  <c r="J14" i="2"/>
  <c r="J15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G1" i="3"/>
  <c r="E10" i="3"/>
  <c r="G2" i="3"/>
  <c r="F10" i="3"/>
  <c r="G4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G5" i="3"/>
  <c r="G36" i="1"/>
  <c r="G28" i="1"/>
  <c r="G20" i="1"/>
  <c r="G12" i="1"/>
  <c r="G4" i="1"/>
  <c r="G35" i="1"/>
  <c r="G27" i="1"/>
  <c r="G19" i="1"/>
  <c r="G11" i="1"/>
  <c r="G3" i="1"/>
  <c r="G39" i="1"/>
  <c r="G15" i="1"/>
  <c r="G22" i="1"/>
  <c r="G37" i="1"/>
  <c r="G34" i="1"/>
  <c r="G26" i="1"/>
  <c r="G18" i="1"/>
  <c r="G10" i="1"/>
  <c r="G23" i="1"/>
  <c r="G30" i="1"/>
  <c r="G13" i="1"/>
  <c r="G41" i="1"/>
  <c r="G33" i="1"/>
  <c r="G25" i="1"/>
  <c r="G17" i="1"/>
  <c r="G9" i="1"/>
  <c r="G31" i="1"/>
  <c r="G38" i="1"/>
  <c r="G14" i="1"/>
  <c r="G6" i="1"/>
  <c r="G29" i="1"/>
  <c r="G21" i="1"/>
  <c r="G5" i="1"/>
  <c r="G40" i="1"/>
  <c r="G32" i="1"/>
  <c r="G24" i="1"/>
  <c r="G16" i="1"/>
  <c r="G8" i="1"/>
  <c r="G7" i="1"/>
  <c r="J6" i="2"/>
  <c r="J9" i="2"/>
  <c r="J12" i="2"/>
  <c r="E11" i="1"/>
  <c r="E10" i="1"/>
  <c r="E9" i="1"/>
  <c r="E4" i="1"/>
  <c r="E5" i="1"/>
  <c r="J2" i="3"/>
  <c r="J3" i="3"/>
  <c r="H10" i="3"/>
  <c r="H13" i="3"/>
  <c r="E12" i="1"/>
  <c r="J4" i="3"/>
  <c r="H12" i="3"/>
  <c r="H11" i="3"/>
</calcChain>
</file>

<file path=xl/sharedStrings.xml><?xml version="1.0" encoding="utf-8"?>
<sst xmlns="http://schemas.openxmlformats.org/spreadsheetml/2006/main" count="76" uniqueCount="71">
  <si>
    <t>Poissonverteilung ?</t>
  </si>
  <si>
    <t>Gefässe</t>
  </si>
  <si>
    <t>Summe</t>
  </si>
  <si>
    <t>(Hilfs-Spalte)</t>
  </si>
  <si>
    <t>Mittelwert:</t>
  </si>
  <si>
    <t>Chi-quadrat:</t>
  </si>
  <si>
    <t>Hypothese:</t>
  </si>
  <si>
    <t>die Häufigkeit der Gefässe</t>
  </si>
  <si>
    <t>in den Gruben ist poissonverteilt.</t>
  </si>
  <si>
    <t>Freiheitsgrade</t>
  </si>
  <si>
    <t>chi2-Grenzwert zu 0.01</t>
  </si>
  <si>
    <t>Dann ist Erwartungwert = lambda</t>
  </si>
  <si>
    <t>chi2-Grenzwert zu 0.001</t>
  </si>
  <si>
    <t>und Varianz = lambda.</t>
  </si>
  <si>
    <t>Wir schätzen lambda</t>
  </si>
  <si>
    <t>keine Poissonverteilung!</t>
  </si>
  <si>
    <t>Binomialverteilung ?</t>
  </si>
  <si>
    <t>Geräte</t>
  </si>
  <si>
    <t>Summe xi, Spalte "C"</t>
  </si>
  <si>
    <t>hier:</t>
  </si>
  <si>
    <t>xi</t>
  </si>
  <si>
    <t>ni</t>
  </si>
  <si>
    <t>xi**2 / ni</t>
  </si>
  <si>
    <t>Summe nicht-xi, Spalte "D"</t>
  </si>
  <si>
    <t>Beispiel: Ihm, Statistik (1978)</t>
  </si>
  <si>
    <t>Summe ni, Spalte "E"</t>
  </si>
  <si>
    <t>226 ff. Tab. 8-B</t>
  </si>
  <si>
    <t>Summe xi**2/ni, Spalte "G":</t>
  </si>
  <si>
    <t>p:</t>
  </si>
  <si>
    <t>q:</t>
  </si>
  <si>
    <t>N..p2:</t>
  </si>
  <si>
    <t>chi2-beobachtet</t>
  </si>
  <si>
    <t>Anzahl Gruben</t>
  </si>
  <si>
    <t>chi2-Genzwert 0.01</t>
  </si>
  <si>
    <t>chi2-Genzwert 0.001</t>
  </si>
  <si>
    <t>Negative Binomialverteilung ?</t>
  </si>
  <si>
    <t>Summe h(x):</t>
  </si>
  <si>
    <t>k:</t>
  </si>
  <si>
    <t>Summe x*h(x)</t>
  </si>
  <si>
    <t>78 ff.</t>
  </si>
  <si>
    <t>Summe (Sp. F)</t>
  </si>
  <si>
    <t>p/q:</t>
  </si>
  <si>
    <t>Varianz</t>
  </si>
  <si>
    <t xml:space="preserve"> (Varianz nach Ihm 1978, 31 f.)</t>
  </si>
  <si>
    <t>Anzahl Kratzer</t>
  </si>
  <si>
    <t>Neg.-Bin.:</t>
  </si>
  <si>
    <t>x</t>
  </si>
  <si>
    <t>h(x)</t>
  </si>
  <si>
    <t>xi * h(xi)</t>
  </si>
  <si>
    <t>h(xi)*(xi*Xi)</t>
  </si>
  <si>
    <t>usw.</t>
  </si>
  <si>
    <t>chi2-Genzwert 0.05</t>
  </si>
  <si>
    <t>Beispiel: Ihm 1978, 226 ff., Tab. 8-B</t>
  </si>
  <si>
    <t>H0: Die Verteilung der Gefäße unter den Objekten in den Gruben ist Binomialverteilt.</t>
  </si>
  <si>
    <t>p (geschätzt):</t>
  </si>
  <si>
    <t>q (geschätzt):</t>
  </si>
  <si>
    <t>Wahrscheinlichkeit</t>
  </si>
  <si>
    <t>Summe AQ:</t>
  </si>
  <si>
    <t>chi2-Grenzwert zu 0.05</t>
  </si>
  <si>
    <t>Mit P&lt;0,001 wird H0 verworfen</t>
  </si>
  <si>
    <t>Zahl der Quadrate:</t>
  </si>
  <si>
    <t>P für H0 (Poissonverteilt)</t>
  </si>
  <si>
    <t>Rechnung nach Ihm, Statistik (1978) 225</t>
  </si>
  <si>
    <t>Abweichungsquadrate</t>
  </si>
  <si>
    <t>Beobachtungen</t>
  </si>
  <si>
    <t>(Anzahl Gefäße)</t>
  </si>
  <si>
    <t>durch den Mittelwert (hier Zelle "E3").</t>
  </si>
  <si>
    <t>Bilanz lt. Spalte "G":</t>
  </si>
  <si>
    <r>
      <rPr>
        <sz val="10"/>
        <color indexed="30"/>
        <rFont val="Arial"/>
        <family val="2"/>
      </rPr>
      <t xml:space="preserve">chi2 beobachtet </t>
    </r>
    <r>
      <rPr>
        <sz val="10"/>
        <rFont val="Arial"/>
        <family val="2"/>
      </rPr>
      <t xml:space="preserve">ist grösser </t>
    </r>
    <r>
      <rPr>
        <sz val="10"/>
        <color indexed="10"/>
        <rFont val="Arial"/>
        <family val="2"/>
      </rPr>
      <t>Grenzwert</t>
    </r>
    <r>
      <rPr>
        <sz val="10"/>
        <rFont val="Arial"/>
        <family val="2"/>
      </rPr>
      <t>:</t>
    </r>
  </si>
  <si>
    <t>Mit P &lt; 0,001 ist H0, die Gefäße in den Gruben sind Binomialverteilt, abzulehnen</t>
  </si>
  <si>
    <t>Mittel (mü)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</si>
</sst>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€&quot;;\-#,##0\ &quot;€&quot;"/>
    <numFmt numFmtId="166" formatCode="#,##0.0000"/>
    <numFmt numFmtId="167" formatCode="#,##0.00000"/>
    <numFmt numFmtId="172" formatCode="#,##0.000000000"/>
    <numFmt numFmtId="178" formatCode="0.00000"/>
  </numFmts>
  <fonts count="16" x14ac:knownFonts="1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</font>
    <font>
      <b/>
      <i/>
      <sz val="10"/>
      <name val="Arial"/>
    </font>
    <font>
      <i/>
      <sz val="10"/>
      <name val="Arial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3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theme="4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vertical="top"/>
    </xf>
    <xf numFmtId="2" fontId="7" fillId="0" borderId="0" applyFont="0" applyFill="0" applyBorder="0" applyAlignment="0" applyProtection="0"/>
    <xf numFmtId="1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5" fontId="7" fillId="0" borderId="0" applyFont="0" applyFill="0" applyBorder="0" applyAlignment="0" applyProtection="0"/>
  </cellStyleXfs>
  <cellXfs count="23">
    <xf numFmtId="0" fontId="0" fillId="0" borderId="0" xfId="0" applyAlignment="1"/>
    <xf numFmtId="166" fontId="0" fillId="0" borderId="0" xfId="0" applyNumberFormat="1" applyAlignment="1"/>
    <xf numFmtId="3" fontId="0" fillId="0" borderId="0" xfId="0" applyNumberFormat="1" applyAlignment="1"/>
    <xf numFmtId="0" fontId="4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5" fillId="0" borderId="0" xfId="0" applyFont="1" applyAlignment="1"/>
    <xf numFmtId="167" fontId="0" fillId="0" borderId="0" xfId="0" applyNumberForma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172" fontId="0" fillId="0" borderId="0" xfId="0" applyNumberFormat="1" applyAlignment="1"/>
    <xf numFmtId="178" fontId="0" fillId="0" borderId="0" xfId="0" applyNumberFormat="1" applyAlignment="1"/>
    <xf numFmtId="0" fontId="6" fillId="0" borderId="0" xfId="0" applyFont="1" applyAlignment="1"/>
    <xf numFmtId="0" fontId="8" fillId="0" borderId="0" xfId="0" applyFont="1" applyAlignment="1"/>
    <xf numFmtId="166" fontId="12" fillId="0" borderId="0" xfId="0" applyNumberFormat="1" applyFont="1" applyAlignment="1"/>
    <xf numFmtId="166" fontId="13" fillId="0" borderId="0" xfId="0" applyNumberFormat="1" applyFont="1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11" fillId="0" borderId="0" xfId="0" applyNumberFormat="1" applyFont="1" applyAlignment="1">
      <alignment horizontal="right"/>
    </xf>
    <xf numFmtId="0" fontId="14" fillId="0" borderId="0" xfId="0" applyFont="1" applyAlignment="1"/>
    <xf numFmtId="166" fontId="15" fillId="0" borderId="0" xfId="0" applyNumberFormat="1" applyFont="1" applyAlignment="1"/>
    <xf numFmtId="167" fontId="15" fillId="0" borderId="0" xfId="0" applyNumberFormat="1" applyFont="1" applyAlignment="1"/>
    <xf numFmtId="166" fontId="8" fillId="0" borderId="0" xfId="0" applyNumberFormat="1" applyFont="1" applyAlignment="1"/>
  </cellXfs>
  <cellStyles count="8">
    <cellStyle name="Angeben" xfId="1"/>
    <cellStyle name="Datum" xfId="2"/>
    <cellStyle name="Gesamt" xfId="3"/>
    <cellStyle name="Komma0" xfId="4"/>
    <cellStyle name="Standard" xfId="0" builtinId="0"/>
    <cellStyle name="Titel 1" xfId="5"/>
    <cellStyle name="Titel 2" xfId="6"/>
    <cellStyle name="Währung0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workbookViewId="0">
      <selection activeCell="A3" sqref="A3"/>
    </sheetView>
  </sheetViews>
  <sheetFormatPr baseColWidth="10" defaultColWidth="9.140625" defaultRowHeight="12.75" x14ac:dyDescent="0.2"/>
  <cols>
    <col min="1" max="1" width="35.140625" customWidth="1"/>
    <col min="2" max="2" width="16.5703125" customWidth="1"/>
    <col min="3" max="3" width="9.140625" customWidth="1"/>
    <col min="4" max="4" width="21.5703125" customWidth="1"/>
    <col min="5" max="5" width="12.5703125" customWidth="1"/>
    <col min="6" max="6" width="9.140625" customWidth="1"/>
    <col min="7" max="7" width="19.140625" customWidth="1"/>
  </cols>
  <sheetData>
    <row r="1" spans="1:7" x14ac:dyDescent="0.2">
      <c r="A1" s="12" t="s">
        <v>0</v>
      </c>
      <c r="B1" s="13" t="s">
        <v>64</v>
      </c>
      <c r="D1" t="s">
        <v>2</v>
      </c>
      <c r="E1" s="1">
        <f>SUM(B3:B41)</f>
        <v>693</v>
      </c>
      <c r="G1" s="16" t="s">
        <v>63</v>
      </c>
    </row>
    <row r="2" spans="1:7" x14ac:dyDescent="0.2">
      <c r="B2" s="13" t="s">
        <v>65</v>
      </c>
      <c r="D2" t="s">
        <v>60</v>
      </c>
      <c r="E2" s="1">
        <f>COUNTA(B3:B41)</f>
        <v>39</v>
      </c>
      <c r="G2" s="17" t="s">
        <v>3</v>
      </c>
    </row>
    <row r="3" spans="1:7" x14ac:dyDescent="0.2">
      <c r="A3" s="12" t="s">
        <v>62</v>
      </c>
      <c r="B3">
        <v>5</v>
      </c>
      <c r="D3" t="s">
        <v>4</v>
      </c>
      <c r="E3" s="1">
        <f>E1/E2</f>
        <v>17.76923076923077</v>
      </c>
      <c r="G3" s="1">
        <f>(+B3-E$3)^2</f>
        <v>163.05325443786984</v>
      </c>
    </row>
    <row r="4" spans="1:7" x14ac:dyDescent="0.2">
      <c r="B4">
        <v>43</v>
      </c>
      <c r="D4" t="s">
        <v>57</v>
      </c>
      <c r="E4" s="1">
        <f>SUM(G3:G41)</f>
        <v>5452.9230769230762</v>
      </c>
      <c r="G4" s="1">
        <f t="shared" ref="G4:G41" si="0">(+B4-E$3)^2</f>
        <v>636.59171597633133</v>
      </c>
    </row>
    <row r="5" spans="1:7" x14ac:dyDescent="0.2">
      <c r="B5">
        <v>22</v>
      </c>
      <c r="D5" t="s">
        <v>5</v>
      </c>
      <c r="E5" s="15">
        <f>(+E4/E3)</f>
        <v>306.87445887445881</v>
      </c>
      <c r="G5" s="1">
        <f t="shared" si="0"/>
        <v>17.899408284023661</v>
      </c>
    </row>
    <row r="6" spans="1:7" x14ac:dyDescent="0.2">
      <c r="A6" s="12" t="s">
        <v>6</v>
      </c>
      <c r="B6">
        <v>10</v>
      </c>
      <c r="E6" s="1"/>
      <c r="G6" s="1">
        <f t="shared" si="0"/>
        <v>60.360946745562146</v>
      </c>
    </row>
    <row r="7" spans="1:7" x14ac:dyDescent="0.2">
      <c r="A7" t="s">
        <v>7</v>
      </c>
      <c r="B7">
        <v>11</v>
      </c>
      <c r="E7" s="1"/>
      <c r="G7" s="1">
        <f t="shared" si="0"/>
        <v>45.822485207100605</v>
      </c>
    </row>
    <row r="8" spans="1:7" x14ac:dyDescent="0.2">
      <c r="A8" t="s">
        <v>8</v>
      </c>
      <c r="B8">
        <v>7</v>
      </c>
      <c r="D8" t="s">
        <v>9</v>
      </c>
      <c r="E8" s="1">
        <f>(+E2-1)</f>
        <v>38</v>
      </c>
      <c r="G8" s="1">
        <f t="shared" si="0"/>
        <v>115.97633136094676</v>
      </c>
    </row>
    <row r="9" spans="1:7" x14ac:dyDescent="0.2">
      <c r="B9">
        <v>32</v>
      </c>
      <c r="D9" t="s">
        <v>58</v>
      </c>
      <c r="E9" s="14">
        <f>CHIINV(0.05,E$8)</f>
        <v>53.383540622969299</v>
      </c>
      <c r="G9" s="1">
        <f t="shared" si="0"/>
        <v>202.51479289940826</v>
      </c>
    </row>
    <row r="10" spans="1:7" x14ac:dyDescent="0.2">
      <c r="A10" t="s">
        <v>11</v>
      </c>
      <c r="B10">
        <v>18</v>
      </c>
      <c r="D10" t="s">
        <v>10</v>
      </c>
      <c r="E10" s="14">
        <f>CHIINV(0.01,E$8)</f>
        <v>61.162086763689686</v>
      </c>
      <c r="G10" s="1">
        <f t="shared" si="0"/>
        <v>5.3254437869822105E-2</v>
      </c>
    </row>
    <row r="11" spans="1:7" x14ac:dyDescent="0.2">
      <c r="A11" t="s">
        <v>13</v>
      </c>
      <c r="B11">
        <v>11</v>
      </c>
      <c r="D11" t="s">
        <v>12</v>
      </c>
      <c r="E11" s="14">
        <f>CHIINV(0.001,E$8)</f>
        <v>70.702887411505003</v>
      </c>
      <c r="G11" s="1">
        <f t="shared" si="0"/>
        <v>45.822485207100605</v>
      </c>
    </row>
    <row r="12" spans="1:7" x14ac:dyDescent="0.2">
      <c r="B12">
        <v>15</v>
      </c>
      <c r="D12" t="s">
        <v>61</v>
      </c>
      <c r="E12" s="11">
        <f>CHIDIST(E5,E8)</f>
        <v>9.0624170699291287E-44</v>
      </c>
      <c r="G12" s="1">
        <f t="shared" si="0"/>
        <v>7.6686390532544424</v>
      </c>
    </row>
    <row r="13" spans="1:7" x14ac:dyDescent="0.2">
      <c r="A13" t="s">
        <v>14</v>
      </c>
      <c r="B13">
        <v>23</v>
      </c>
      <c r="G13" s="1">
        <f t="shared" si="0"/>
        <v>27.360946745562121</v>
      </c>
    </row>
    <row r="14" spans="1:7" x14ac:dyDescent="0.2">
      <c r="A14" s="13" t="s">
        <v>66</v>
      </c>
      <c r="B14">
        <v>9</v>
      </c>
      <c r="D14" t="s">
        <v>59</v>
      </c>
      <c r="G14" s="1">
        <f t="shared" si="0"/>
        <v>76.899408284023679</v>
      </c>
    </row>
    <row r="15" spans="1:7" x14ac:dyDescent="0.2">
      <c r="B15">
        <v>15</v>
      </c>
      <c r="G15" s="1">
        <f t="shared" si="0"/>
        <v>7.6686390532544424</v>
      </c>
    </row>
    <row r="16" spans="1:7" x14ac:dyDescent="0.2">
      <c r="B16">
        <v>30</v>
      </c>
      <c r="G16" s="1">
        <f t="shared" si="0"/>
        <v>149.59171597633133</v>
      </c>
    </row>
    <row r="17" spans="1:7" x14ac:dyDescent="0.2">
      <c r="B17">
        <v>26</v>
      </c>
      <c r="G17" s="1">
        <f t="shared" si="0"/>
        <v>67.745562130177504</v>
      </c>
    </row>
    <row r="18" spans="1:7" x14ac:dyDescent="0.2">
      <c r="A18" s="13" t="s">
        <v>67</v>
      </c>
      <c r="B18">
        <v>9</v>
      </c>
      <c r="G18" s="1">
        <f t="shared" si="0"/>
        <v>76.899408284023679</v>
      </c>
    </row>
    <row r="19" spans="1:7" x14ac:dyDescent="0.2">
      <c r="A19" s="13" t="s">
        <v>68</v>
      </c>
      <c r="B19">
        <v>29</v>
      </c>
      <c r="G19" s="1">
        <f t="shared" si="0"/>
        <v>126.13017751479288</v>
      </c>
    </row>
    <row r="20" spans="1:7" x14ac:dyDescent="0.2">
      <c r="A20" s="13" t="s">
        <v>15</v>
      </c>
      <c r="B20">
        <v>4</v>
      </c>
      <c r="G20" s="1">
        <f t="shared" si="0"/>
        <v>189.59171597633139</v>
      </c>
    </row>
    <row r="21" spans="1:7" x14ac:dyDescent="0.2">
      <c r="B21">
        <v>53</v>
      </c>
      <c r="G21" s="1">
        <f t="shared" si="0"/>
        <v>1241.2071005917157</v>
      </c>
    </row>
    <row r="22" spans="1:7" x14ac:dyDescent="0.2">
      <c r="B22">
        <v>10</v>
      </c>
      <c r="G22" s="1">
        <f t="shared" si="0"/>
        <v>60.360946745562146</v>
      </c>
    </row>
    <row r="23" spans="1:7" x14ac:dyDescent="0.2">
      <c r="B23">
        <v>9</v>
      </c>
      <c r="G23" s="1">
        <f t="shared" si="0"/>
        <v>76.899408284023679</v>
      </c>
    </row>
    <row r="24" spans="1:7" x14ac:dyDescent="0.2">
      <c r="B24">
        <v>37</v>
      </c>
      <c r="G24" s="1">
        <f t="shared" si="0"/>
        <v>369.82248520710056</v>
      </c>
    </row>
    <row r="25" spans="1:7" x14ac:dyDescent="0.2">
      <c r="B25">
        <v>29</v>
      </c>
      <c r="G25" s="1">
        <f t="shared" si="0"/>
        <v>126.13017751479288</v>
      </c>
    </row>
    <row r="26" spans="1:7" x14ac:dyDescent="0.2">
      <c r="B26">
        <v>10</v>
      </c>
      <c r="G26" s="1">
        <f t="shared" si="0"/>
        <v>60.360946745562146</v>
      </c>
    </row>
    <row r="27" spans="1:7" x14ac:dyDescent="0.2">
      <c r="B27">
        <v>23</v>
      </c>
      <c r="G27" s="1">
        <f t="shared" si="0"/>
        <v>27.360946745562121</v>
      </c>
    </row>
    <row r="28" spans="1:7" x14ac:dyDescent="0.2">
      <c r="B28">
        <v>7</v>
      </c>
      <c r="G28" s="1">
        <f t="shared" si="0"/>
        <v>115.97633136094676</v>
      </c>
    </row>
    <row r="29" spans="1:7" x14ac:dyDescent="0.2">
      <c r="B29">
        <v>12</v>
      </c>
      <c r="G29" s="1">
        <f t="shared" si="0"/>
        <v>33.284023668639065</v>
      </c>
    </row>
    <row r="30" spans="1:7" x14ac:dyDescent="0.2">
      <c r="B30">
        <v>35</v>
      </c>
      <c r="G30" s="1">
        <f t="shared" si="0"/>
        <v>296.89940828402365</v>
      </c>
    </row>
    <row r="31" spans="1:7" x14ac:dyDescent="0.2">
      <c r="B31">
        <v>2</v>
      </c>
      <c r="G31" s="1">
        <f t="shared" si="0"/>
        <v>248.66863905325445</v>
      </c>
    </row>
    <row r="32" spans="1:7" x14ac:dyDescent="0.2">
      <c r="B32">
        <v>9</v>
      </c>
      <c r="G32" s="1">
        <f t="shared" si="0"/>
        <v>76.899408284023679</v>
      </c>
    </row>
    <row r="33" spans="2:7" x14ac:dyDescent="0.2">
      <c r="B33">
        <v>6</v>
      </c>
      <c r="G33" s="1">
        <f t="shared" si="0"/>
        <v>138.51479289940829</v>
      </c>
    </row>
    <row r="34" spans="2:7" x14ac:dyDescent="0.2">
      <c r="B34">
        <v>25</v>
      </c>
      <c r="G34" s="1">
        <f t="shared" si="0"/>
        <v>52.284023668639044</v>
      </c>
    </row>
    <row r="35" spans="2:7" x14ac:dyDescent="0.2">
      <c r="B35">
        <v>25</v>
      </c>
      <c r="G35" s="1">
        <f t="shared" si="0"/>
        <v>52.284023668639044</v>
      </c>
    </row>
    <row r="36" spans="2:7" x14ac:dyDescent="0.2">
      <c r="B36">
        <v>11</v>
      </c>
      <c r="G36" s="1">
        <f t="shared" si="0"/>
        <v>45.822485207100605</v>
      </c>
    </row>
    <row r="37" spans="2:7" x14ac:dyDescent="0.2">
      <c r="B37">
        <v>14</v>
      </c>
      <c r="G37" s="1">
        <f t="shared" si="0"/>
        <v>14.207100591715983</v>
      </c>
    </row>
    <row r="38" spans="2:7" x14ac:dyDescent="0.2">
      <c r="B38">
        <v>25</v>
      </c>
      <c r="G38" s="1">
        <f t="shared" si="0"/>
        <v>52.284023668639044</v>
      </c>
    </row>
    <row r="39" spans="2:7" x14ac:dyDescent="0.2">
      <c r="B39">
        <v>22</v>
      </c>
      <c r="G39" s="1">
        <f t="shared" si="0"/>
        <v>17.899408284023661</v>
      </c>
    </row>
    <row r="40" spans="2:7" x14ac:dyDescent="0.2">
      <c r="B40">
        <v>6</v>
      </c>
      <c r="G40" s="1">
        <f t="shared" si="0"/>
        <v>138.51479289940829</v>
      </c>
    </row>
    <row r="41" spans="2:7" x14ac:dyDescent="0.2">
      <c r="B41">
        <v>4</v>
      </c>
      <c r="G41" s="1">
        <f t="shared" si="0"/>
        <v>189.59171597633139</v>
      </c>
    </row>
    <row r="42" spans="2:7" x14ac:dyDescent="0.2">
      <c r="G42" s="1"/>
    </row>
    <row r="43" spans="2:7" x14ac:dyDescent="0.2">
      <c r="G43" s="1"/>
    </row>
    <row r="44" spans="2:7" x14ac:dyDescent="0.2">
      <c r="G44" s="1"/>
    </row>
    <row r="45" spans="2:7" x14ac:dyDescent="0.2">
      <c r="G45" s="1"/>
    </row>
    <row r="46" spans="2:7" x14ac:dyDescent="0.2">
      <c r="G46" s="1"/>
    </row>
    <row r="47" spans="2:7" x14ac:dyDescent="0.2">
      <c r="G47" s="1"/>
    </row>
    <row r="48" spans="2:7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  <row r="57" spans="7:7" x14ac:dyDescent="0.2">
      <c r="G57" s="1"/>
    </row>
    <row r="58" spans="7:7" x14ac:dyDescent="0.2">
      <c r="G58" s="1"/>
    </row>
    <row r="59" spans="7:7" x14ac:dyDescent="0.2">
      <c r="G59" s="1"/>
    </row>
    <row r="60" spans="7:7" x14ac:dyDescent="0.2">
      <c r="G60" s="1"/>
    </row>
    <row r="61" spans="7:7" x14ac:dyDescent="0.2">
      <c r="G61" s="1"/>
    </row>
    <row r="62" spans="7:7" x14ac:dyDescent="0.2">
      <c r="G62" s="1"/>
    </row>
    <row r="63" spans="7:7" x14ac:dyDescent="0.2">
      <c r="G63" s="1"/>
    </row>
    <row r="64" spans="7:7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opLeftCell="B1" workbookViewId="0">
      <selection activeCell="B33" sqref="B33"/>
    </sheetView>
  </sheetViews>
  <sheetFormatPr baseColWidth="10" defaultColWidth="9.140625" defaultRowHeight="12.75" x14ac:dyDescent="0.2"/>
  <cols>
    <col min="1" max="1" width="26" customWidth="1"/>
    <col min="2" max="8" width="9.140625" customWidth="1"/>
    <col min="9" max="9" width="24.140625" customWidth="1"/>
    <col min="10" max="10" width="11.5703125" bestFit="1" customWidth="1"/>
  </cols>
  <sheetData>
    <row r="1" spans="1:10" x14ac:dyDescent="0.2">
      <c r="B1" s="12" t="s">
        <v>53</v>
      </c>
    </row>
    <row r="2" spans="1:10" x14ac:dyDescent="0.2">
      <c r="A2" t="s">
        <v>16</v>
      </c>
      <c r="C2" t="s">
        <v>1</v>
      </c>
      <c r="D2" t="s">
        <v>17</v>
      </c>
      <c r="E2" t="s">
        <v>2</v>
      </c>
      <c r="G2" s="5"/>
      <c r="I2" t="s">
        <v>18</v>
      </c>
      <c r="J2" s="2">
        <f>SUM(C4:C101)</f>
        <v>792</v>
      </c>
    </row>
    <row r="3" spans="1:10" x14ac:dyDescent="0.2">
      <c r="B3" t="s">
        <v>19</v>
      </c>
      <c r="C3" s="4" t="s">
        <v>20</v>
      </c>
      <c r="E3" s="4" t="s">
        <v>21</v>
      </c>
      <c r="G3" s="5" t="s">
        <v>22</v>
      </c>
      <c r="I3" t="s">
        <v>23</v>
      </c>
      <c r="J3" s="2">
        <f>SUM(D4:D101)</f>
        <v>633</v>
      </c>
    </row>
    <row r="4" spans="1:10" x14ac:dyDescent="0.2">
      <c r="A4" t="s">
        <v>24</v>
      </c>
      <c r="C4">
        <v>196</v>
      </c>
      <c r="D4">
        <v>203</v>
      </c>
      <c r="E4">
        <f t="shared" ref="E4:E30" si="0">C4+D4</f>
        <v>399</v>
      </c>
      <c r="G4" s="1">
        <f t="shared" ref="G4:G30" si="1">(+C4*C4)/E4</f>
        <v>96.280701754385959</v>
      </c>
      <c r="I4" t="s">
        <v>25</v>
      </c>
      <c r="J4" s="2">
        <f>SUM(E4:E101)</f>
        <v>1425</v>
      </c>
    </row>
    <row r="5" spans="1:10" x14ac:dyDescent="0.2">
      <c r="A5" t="s">
        <v>26</v>
      </c>
      <c r="C5">
        <v>43</v>
      </c>
      <c r="D5">
        <v>51</v>
      </c>
      <c r="E5">
        <f t="shared" si="0"/>
        <v>94</v>
      </c>
      <c r="G5" s="1">
        <f t="shared" si="1"/>
        <v>19.670212765957448</v>
      </c>
      <c r="J5" s="1"/>
    </row>
    <row r="6" spans="1:10" x14ac:dyDescent="0.2">
      <c r="C6">
        <v>22</v>
      </c>
      <c r="D6">
        <v>4</v>
      </c>
      <c r="E6">
        <f t="shared" si="0"/>
        <v>26</v>
      </c>
      <c r="G6" s="1">
        <f t="shared" si="1"/>
        <v>18.615384615384617</v>
      </c>
      <c r="I6" t="s">
        <v>27</v>
      </c>
      <c r="J6" s="1">
        <f>SUM(G4:G101)</f>
        <v>461.60704807199204</v>
      </c>
    </row>
    <row r="7" spans="1:10" x14ac:dyDescent="0.2">
      <c r="C7">
        <v>11</v>
      </c>
      <c r="D7">
        <v>7</v>
      </c>
      <c r="E7">
        <f t="shared" si="0"/>
        <v>18</v>
      </c>
      <c r="G7" s="1">
        <f t="shared" si="1"/>
        <v>6.7222222222222223</v>
      </c>
      <c r="J7" s="1"/>
    </row>
    <row r="8" spans="1:10" x14ac:dyDescent="0.2">
      <c r="C8">
        <v>11</v>
      </c>
      <c r="D8">
        <v>2</v>
      </c>
      <c r="E8">
        <f t="shared" si="0"/>
        <v>13</v>
      </c>
      <c r="G8" s="1">
        <f t="shared" si="1"/>
        <v>9.3076923076923084</v>
      </c>
      <c r="I8" s="12" t="s">
        <v>54</v>
      </c>
      <c r="J8" s="1">
        <f>J2/J4</f>
        <v>0.5557894736842105</v>
      </c>
    </row>
    <row r="9" spans="1:10" x14ac:dyDescent="0.2">
      <c r="C9">
        <v>32</v>
      </c>
      <c r="D9">
        <v>55</v>
      </c>
      <c r="E9">
        <f t="shared" si="0"/>
        <v>87</v>
      </c>
      <c r="G9" s="1">
        <f t="shared" si="1"/>
        <v>11.770114942528735</v>
      </c>
      <c r="I9" s="12" t="s">
        <v>55</v>
      </c>
      <c r="J9" s="1">
        <f>1-J8</f>
        <v>0.4442105263157895</v>
      </c>
    </row>
    <row r="10" spans="1:10" x14ac:dyDescent="0.2">
      <c r="C10">
        <v>18</v>
      </c>
      <c r="D10">
        <v>17</v>
      </c>
      <c r="E10">
        <f t="shared" si="0"/>
        <v>35</v>
      </c>
      <c r="G10" s="1">
        <f t="shared" si="1"/>
        <v>9.257142857142858</v>
      </c>
      <c r="I10" s="12" t="s">
        <v>30</v>
      </c>
      <c r="J10" s="1">
        <f>J4*(+J8*J8)</f>
        <v>440.18526315789467</v>
      </c>
    </row>
    <row r="11" spans="1:10" x14ac:dyDescent="0.2">
      <c r="C11">
        <v>9</v>
      </c>
      <c r="D11">
        <v>15</v>
      </c>
      <c r="E11">
        <f t="shared" si="0"/>
        <v>24</v>
      </c>
      <c r="G11" s="1">
        <f t="shared" si="1"/>
        <v>3.375</v>
      </c>
      <c r="J11" s="1"/>
    </row>
    <row r="12" spans="1:10" x14ac:dyDescent="0.2">
      <c r="C12">
        <v>29</v>
      </c>
      <c r="D12">
        <v>9</v>
      </c>
      <c r="E12">
        <f t="shared" si="0"/>
        <v>38</v>
      </c>
      <c r="G12" s="1">
        <f t="shared" si="1"/>
        <v>22.131578947368421</v>
      </c>
      <c r="I12" s="12" t="s">
        <v>31</v>
      </c>
      <c r="J12" s="20">
        <f>(+1/(+J8*J9))*(+J6-J10)</f>
        <v>86.767381538905994</v>
      </c>
    </row>
    <row r="13" spans="1:10" x14ac:dyDescent="0.2">
      <c r="C13">
        <v>23</v>
      </c>
      <c r="D13">
        <v>14</v>
      </c>
      <c r="E13">
        <f t="shared" si="0"/>
        <v>37</v>
      </c>
      <c r="G13" s="1">
        <f t="shared" si="1"/>
        <v>14.297297297297296</v>
      </c>
      <c r="J13" s="1"/>
    </row>
    <row r="14" spans="1:10" x14ac:dyDescent="0.2">
      <c r="C14">
        <v>30</v>
      </c>
      <c r="D14">
        <v>24</v>
      </c>
      <c r="E14">
        <f t="shared" si="0"/>
        <v>54</v>
      </c>
      <c r="G14" s="1">
        <f t="shared" si="1"/>
        <v>16.666666666666668</v>
      </c>
      <c r="I14" t="s">
        <v>32</v>
      </c>
      <c r="J14" s="2">
        <f>COUNTA(C4:C101)</f>
        <v>27</v>
      </c>
    </row>
    <row r="15" spans="1:10" x14ac:dyDescent="0.2">
      <c r="C15">
        <v>53</v>
      </c>
      <c r="D15">
        <v>49</v>
      </c>
      <c r="E15">
        <f t="shared" si="0"/>
        <v>102</v>
      </c>
      <c r="G15" s="1">
        <f t="shared" si="1"/>
        <v>27.53921568627451</v>
      </c>
      <c r="I15" t="s">
        <v>51</v>
      </c>
      <c r="J15" s="20">
        <f>CHIINV(0.05,(+J$14-1))</f>
        <v>38.885138659830041</v>
      </c>
    </row>
    <row r="16" spans="1:10" x14ac:dyDescent="0.2">
      <c r="C16">
        <v>26</v>
      </c>
      <c r="D16">
        <v>24</v>
      </c>
      <c r="E16">
        <f t="shared" si="0"/>
        <v>50</v>
      </c>
      <c r="G16" s="1">
        <f t="shared" si="1"/>
        <v>13.52</v>
      </c>
      <c r="I16" s="13" t="s">
        <v>33</v>
      </c>
      <c r="J16" s="20">
        <f>CHIINV(0.01,(+J$14-1))</f>
        <v>45.641682666283153</v>
      </c>
    </row>
    <row r="17" spans="3:10" x14ac:dyDescent="0.2">
      <c r="C17">
        <v>15</v>
      </c>
      <c r="D17">
        <v>5</v>
      </c>
      <c r="E17">
        <f t="shared" si="0"/>
        <v>20</v>
      </c>
      <c r="G17" s="1">
        <f t="shared" si="1"/>
        <v>11.25</v>
      </c>
      <c r="I17" s="13" t="s">
        <v>34</v>
      </c>
      <c r="J17" s="20">
        <f>CHIINV(0.001,(+J14-1))</f>
        <v>54.051962388576641</v>
      </c>
    </row>
    <row r="18" spans="3:10" x14ac:dyDescent="0.2">
      <c r="C18">
        <v>15</v>
      </c>
      <c r="D18">
        <v>6</v>
      </c>
      <c r="E18">
        <f t="shared" si="0"/>
        <v>21</v>
      </c>
      <c r="G18" s="1">
        <f t="shared" si="1"/>
        <v>10.714285714285714</v>
      </c>
      <c r="J18" s="20"/>
    </row>
    <row r="19" spans="3:10" x14ac:dyDescent="0.2">
      <c r="C19">
        <v>10</v>
      </c>
      <c r="D19">
        <v>10</v>
      </c>
      <c r="E19">
        <f t="shared" si="0"/>
        <v>20</v>
      </c>
      <c r="G19" s="1">
        <f t="shared" si="1"/>
        <v>5</v>
      </c>
      <c r="I19" t="s">
        <v>56</v>
      </c>
      <c r="J19" s="10">
        <f>CHIDIST(J12,J14-1)</f>
        <v>1.8283022787207618E-8</v>
      </c>
    </row>
    <row r="20" spans="3:10" x14ac:dyDescent="0.2">
      <c r="C20">
        <v>23</v>
      </c>
      <c r="D20">
        <v>12</v>
      </c>
      <c r="E20">
        <f t="shared" si="0"/>
        <v>35</v>
      </c>
      <c r="G20" s="1">
        <f t="shared" si="1"/>
        <v>15.114285714285714</v>
      </c>
    </row>
    <row r="21" spans="3:10" x14ac:dyDescent="0.2">
      <c r="C21">
        <v>29</v>
      </c>
      <c r="D21">
        <v>12</v>
      </c>
      <c r="E21">
        <f t="shared" si="0"/>
        <v>41</v>
      </c>
      <c r="G21" s="1">
        <f t="shared" si="1"/>
        <v>20.512195121951219</v>
      </c>
      <c r="I21" s="13" t="s">
        <v>69</v>
      </c>
    </row>
    <row r="22" spans="3:10" x14ac:dyDescent="0.2">
      <c r="C22">
        <v>37</v>
      </c>
      <c r="D22">
        <v>7</v>
      </c>
      <c r="E22">
        <f t="shared" si="0"/>
        <v>44</v>
      </c>
      <c r="G22" s="1">
        <f t="shared" si="1"/>
        <v>31.113636363636363</v>
      </c>
    </row>
    <row r="23" spans="3:10" x14ac:dyDescent="0.2">
      <c r="C23">
        <v>9</v>
      </c>
      <c r="D23">
        <v>4</v>
      </c>
      <c r="E23">
        <f t="shared" si="0"/>
        <v>13</v>
      </c>
      <c r="G23" s="1">
        <f t="shared" si="1"/>
        <v>6.2307692307692308</v>
      </c>
    </row>
    <row r="24" spans="3:10" x14ac:dyDescent="0.2">
      <c r="C24">
        <v>12</v>
      </c>
      <c r="D24">
        <v>12</v>
      </c>
      <c r="E24">
        <f t="shared" si="0"/>
        <v>24</v>
      </c>
      <c r="G24" s="1">
        <f t="shared" si="1"/>
        <v>6</v>
      </c>
    </row>
    <row r="25" spans="3:10" x14ac:dyDescent="0.2">
      <c r="C25">
        <v>7</v>
      </c>
      <c r="D25">
        <v>1</v>
      </c>
      <c r="E25">
        <f t="shared" si="0"/>
        <v>8</v>
      </c>
      <c r="G25" s="1">
        <f t="shared" si="1"/>
        <v>6.125</v>
      </c>
    </row>
    <row r="26" spans="3:10" x14ac:dyDescent="0.2">
      <c r="C26">
        <v>35</v>
      </c>
      <c r="D26">
        <v>34</v>
      </c>
      <c r="E26">
        <f t="shared" si="0"/>
        <v>69</v>
      </c>
      <c r="G26" s="1">
        <f t="shared" si="1"/>
        <v>17.753623188405797</v>
      </c>
    </row>
    <row r="27" spans="3:10" x14ac:dyDescent="0.2">
      <c r="C27">
        <v>25</v>
      </c>
      <c r="D27">
        <v>24</v>
      </c>
      <c r="E27">
        <f t="shared" si="0"/>
        <v>49</v>
      </c>
      <c r="G27" s="1">
        <f t="shared" si="1"/>
        <v>12.755102040816327</v>
      </c>
    </row>
    <row r="28" spans="3:10" x14ac:dyDescent="0.2">
      <c r="C28">
        <v>25</v>
      </c>
      <c r="D28">
        <v>11</v>
      </c>
      <c r="E28">
        <f t="shared" si="0"/>
        <v>36</v>
      </c>
      <c r="G28" s="1">
        <f t="shared" si="1"/>
        <v>17.361111111111111</v>
      </c>
    </row>
    <row r="29" spans="3:10" x14ac:dyDescent="0.2">
      <c r="C29">
        <v>22</v>
      </c>
      <c r="D29">
        <v>11</v>
      </c>
      <c r="E29">
        <f t="shared" si="0"/>
        <v>33</v>
      </c>
      <c r="G29" s="1">
        <f t="shared" si="1"/>
        <v>14.666666666666666</v>
      </c>
    </row>
    <row r="30" spans="3:10" x14ac:dyDescent="0.2">
      <c r="C30">
        <v>25</v>
      </c>
      <c r="D30">
        <v>10</v>
      </c>
      <c r="E30">
        <f t="shared" si="0"/>
        <v>35</v>
      </c>
      <c r="G30" s="1">
        <f t="shared" si="1"/>
        <v>17.857142857142858</v>
      </c>
    </row>
    <row r="31" spans="3:10" x14ac:dyDescent="0.2">
      <c r="G31" s="1"/>
    </row>
    <row r="32" spans="3:10" x14ac:dyDescent="0.2">
      <c r="G32" s="1"/>
    </row>
    <row r="33" spans="2:7" x14ac:dyDescent="0.2">
      <c r="B33" s="12" t="s">
        <v>52</v>
      </c>
      <c r="G33" s="1"/>
    </row>
    <row r="34" spans="2:7" x14ac:dyDescent="0.2">
      <c r="G34" s="1"/>
    </row>
    <row r="35" spans="2:7" x14ac:dyDescent="0.2">
      <c r="G35" s="1"/>
    </row>
    <row r="36" spans="2:7" x14ac:dyDescent="0.2">
      <c r="G36" s="1"/>
    </row>
    <row r="37" spans="2:7" x14ac:dyDescent="0.2">
      <c r="G37" s="1"/>
    </row>
    <row r="38" spans="2:7" x14ac:dyDescent="0.2">
      <c r="G38" s="1"/>
    </row>
    <row r="39" spans="2:7" x14ac:dyDescent="0.2">
      <c r="G39" s="1"/>
    </row>
    <row r="40" spans="2:7" x14ac:dyDescent="0.2">
      <c r="G40" s="1"/>
    </row>
    <row r="41" spans="2:7" x14ac:dyDescent="0.2">
      <c r="G41" s="1"/>
    </row>
    <row r="42" spans="2:7" x14ac:dyDescent="0.2">
      <c r="G42" s="1"/>
    </row>
    <row r="43" spans="2:7" x14ac:dyDescent="0.2">
      <c r="G43" s="1"/>
    </row>
    <row r="44" spans="2:7" x14ac:dyDescent="0.2">
      <c r="G44" s="1"/>
    </row>
    <row r="45" spans="2:7" x14ac:dyDescent="0.2">
      <c r="G45" s="1"/>
    </row>
    <row r="46" spans="2:7" x14ac:dyDescent="0.2">
      <c r="G46" s="1"/>
    </row>
    <row r="47" spans="2:7" x14ac:dyDescent="0.2">
      <c r="G47" s="1"/>
    </row>
    <row r="48" spans="2:7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  <row r="57" spans="7:7" x14ac:dyDescent="0.2">
      <c r="G57" s="1"/>
    </row>
    <row r="58" spans="7:7" x14ac:dyDescent="0.2">
      <c r="G58" s="1"/>
    </row>
    <row r="59" spans="7:7" x14ac:dyDescent="0.2">
      <c r="G59" s="1"/>
    </row>
    <row r="60" spans="7:7" x14ac:dyDescent="0.2">
      <c r="G60" s="1"/>
    </row>
    <row r="61" spans="7:7" x14ac:dyDescent="0.2">
      <c r="G61" s="1"/>
    </row>
    <row r="62" spans="7:7" x14ac:dyDescent="0.2">
      <c r="G62" s="1"/>
    </row>
    <row r="63" spans="7:7" x14ac:dyDescent="0.2">
      <c r="G63" s="1"/>
    </row>
    <row r="64" spans="7:7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3" sqref="A3:A4"/>
    </sheetView>
  </sheetViews>
  <sheetFormatPr baseColWidth="10" defaultColWidth="9.140625" defaultRowHeight="12.75" x14ac:dyDescent="0.2"/>
  <cols>
    <col min="1" max="1" width="27.7109375" customWidth="1"/>
    <col min="2" max="2" width="14.42578125" customWidth="1"/>
    <col min="3" max="3" width="14.5703125" customWidth="1"/>
    <col min="4" max="4" width="7.5703125" customWidth="1"/>
    <col min="5" max="5" width="10.5703125" customWidth="1"/>
    <col min="6" max="6" width="14" customWidth="1"/>
    <col min="7" max="7" width="9.140625" customWidth="1"/>
    <col min="8" max="8" width="12.7109375" customWidth="1"/>
  </cols>
  <sheetData>
    <row r="1" spans="1:10" x14ac:dyDescent="0.2">
      <c r="A1" s="12" t="s">
        <v>35</v>
      </c>
      <c r="F1" s="5" t="s">
        <v>36</v>
      </c>
      <c r="G1" s="2">
        <f>SUM(C10:C107)</f>
        <v>123</v>
      </c>
      <c r="I1" s="19" t="s">
        <v>37</v>
      </c>
      <c r="J1" s="21">
        <f>(G3*G3)/(G5-G3)</f>
        <v>0.33454784554458428</v>
      </c>
    </row>
    <row r="2" spans="1:10" x14ac:dyDescent="0.2">
      <c r="F2" s="5" t="s">
        <v>38</v>
      </c>
      <c r="G2" s="2">
        <f>(SUM(E3:E100))</f>
        <v>101</v>
      </c>
      <c r="I2" s="5" t="s">
        <v>28</v>
      </c>
      <c r="J2" s="7">
        <f>(G3/J1)</f>
        <v>2.4544716766758641</v>
      </c>
    </row>
    <row r="3" spans="1:10" x14ac:dyDescent="0.2">
      <c r="A3" s="12" t="s">
        <v>24</v>
      </c>
      <c r="F3" s="12" t="s">
        <v>70</v>
      </c>
      <c r="G3" s="22">
        <f>(G2/G1)</f>
        <v>0.82113821138211385</v>
      </c>
      <c r="I3" s="5" t="s">
        <v>29</v>
      </c>
      <c r="J3" s="7">
        <f>G5/(J1*J2)</f>
        <v>3.4544716766758645</v>
      </c>
    </row>
    <row r="4" spans="1:10" x14ac:dyDescent="0.2">
      <c r="A4" s="12" t="s">
        <v>39</v>
      </c>
      <c r="F4" t="s">
        <v>40</v>
      </c>
      <c r="G4" s="2">
        <f>SUM(F10:F100)</f>
        <v>429</v>
      </c>
      <c r="I4" s="5" t="s">
        <v>41</v>
      </c>
      <c r="J4" s="7">
        <f>(J2/J3)</f>
        <v>0.71052013343983444</v>
      </c>
    </row>
    <row r="5" spans="1:10" x14ac:dyDescent="0.2">
      <c r="F5" s="19" t="s">
        <v>42</v>
      </c>
      <c r="G5" s="20">
        <f>(1/(G1-1))*(G4-((G2*G2)/G1))</f>
        <v>2.836598693855791</v>
      </c>
      <c r="J5" s="2"/>
    </row>
    <row r="6" spans="1:10" x14ac:dyDescent="0.2">
      <c r="A6" s="6" t="s">
        <v>43</v>
      </c>
      <c r="F6" s="5"/>
      <c r="G6" s="2"/>
      <c r="J6" s="2"/>
    </row>
    <row r="7" spans="1:10" x14ac:dyDescent="0.2">
      <c r="F7" s="5"/>
      <c r="G7" s="2"/>
      <c r="J7" s="2"/>
    </row>
    <row r="8" spans="1:10" x14ac:dyDescent="0.2">
      <c r="B8" s="3" t="s">
        <v>44</v>
      </c>
      <c r="C8" s="3" t="s">
        <v>32</v>
      </c>
      <c r="E8" s="6" t="s">
        <v>3</v>
      </c>
      <c r="F8" s="6" t="s">
        <v>3</v>
      </c>
      <c r="G8" s="2"/>
      <c r="H8" s="5" t="s">
        <v>45</v>
      </c>
      <c r="J8" s="2"/>
    </row>
    <row r="9" spans="1:10" x14ac:dyDescent="0.2">
      <c r="B9" s="4" t="s">
        <v>46</v>
      </c>
      <c r="C9" s="4" t="s">
        <v>47</v>
      </c>
      <c r="E9" s="8" t="s">
        <v>48</v>
      </c>
      <c r="F9" s="9" t="s">
        <v>49</v>
      </c>
      <c r="G9" s="2"/>
      <c r="H9" s="1"/>
      <c r="J9" s="1"/>
    </row>
    <row r="10" spans="1:10" x14ac:dyDescent="0.2">
      <c r="B10">
        <v>0</v>
      </c>
      <c r="C10">
        <v>84</v>
      </c>
      <c r="E10">
        <f t="shared" ref="E10:E21" si="0">(B10*C10)</f>
        <v>0</v>
      </c>
      <c r="F10">
        <f t="shared" ref="F10:F21" si="1">((B10*B10))*C10</f>
        <v>0</v>
      </c>
      <c r="G10" s="1"/>
      <c r="H10" s="1">
        <f>G1*(POWER(J3,J1))</f>
        <v>186.2170866748524</v>
      </c>
    </row>
    <row r="11" spans="1:10" x14ac:dyDescent="0.2">
      <c r="B11">
        <v>1</v>
      </c>
      <c r="C11">
        <v>17</v>
      </c>
      <c r="E11">
        <f t="shared" si="0"/>
        <v>17</v>
      </c>
      <c r="F11">
        <f t="shared" si="1"/>
        <v>17</v>
      </c>
      <c r="H11" s="1">
        <f>(G$1)*(POWER(J$3,J$1))*(J$4)*(J$1/1)</f>
        <v>44.264356403152526</v>
      </c>
    </row>
    <row r="12" spans="1:10" x14ac:dyDescent="0.2">
      <c r="B12">
        <v>2</v>
      </c>
      <c r="C12">
        <v>8</v>
      </c>
      <c r="E12">
        <f t="shared" si="0"/>
        <v>16</v>
      </c>
      <c r="F12">
        <f t="shared" si="1"/>
        <v>32</v>
      </c>
      <c r="H12" s="1">
        <f>(G$1)*(POWER(J$3,J$1))*(POWER(J$4,B12))*(J$1*(J$1+B11)/(B11*B12))</f>
        <v>20.986242918368792</v>
      </c>
    </row>
    <row r="13" spans="1:10" x14ac:dyDescent="0.2">
      <c r="B13">
        <v>3</v>
      </c>
      <c r="C13">
        <v>4</v>
      </c>
      <c r="E13">
        <f t="shared" si="0"/>
        <v>12</v>
      </c>
      <c r="F13">
        <f t="shared" si="1"/>
        <v>36</v>
      </c>
      <c r="H13" s="1">
        <f>(G$1)*(POWER(J$3,J$1))*(POWER(J$4,B13))*(J$1*(J$1+B13)/(B11*B12*B13))</f>
        <v>12.419171781665138</v>
      </c>
    </row>
    <row r="14" spans="1:10" x14ac:dyDescent="0.2">
      <c r="B14">
        <v>4</v>
      </c>
      <c r="C14">
        <v>4</v>
      </c>
      <c r="E14">
        <f t="shared" si="0"/>
        <v>16</v>
      </c>
      <c r="F14">
        <f t="shared" si="1"/>
        <v>64</v>
      </c>
      <c r="H14" s="18" t="s">
        <v>50</v>
      </c>
    </row>
    <row r="15" spans="1:10" x14ac:dyDescent="0.2">
      <c r="B15">
        <v>5</v>
      </c>
      <c r="C15">
        <v>2</v>
      </c>
      <c r="E15">
        <f t="shared" si="0"/>
        <v>10</v>
      </c>
      <c r="F15">
        <f t="shared" si="1"/>
        <v>50</v>
      </c>
    </row>
    <row r="16" spans="1:10" x14ac:dyDescent="0.2">
      <c r="B16">
        <v>6</v>
      </c>
      <c r="C16">
        <v>1</v>
      </c>
      <c r="E16">
        <f t="shared" si="0"/>
        <v>6</v>
      </c>
      <c r="F16">
        <f t="shared" si="1"/>
        <v>36</v>
      </c>
      <c r="H16" s="1"/>
    </row>
    <row r="17" spans="2:8" x14ac:dyDescent="0.2">
      <c r="B17">
        <v>7</v>
      </c>
      <c r="C17">
        <v>1</v>
      </c>
      <c r="E17">
        <f t="shared" si="0"/>
        <v>7</v>
      </c>
      <c r="F17">
        <f t="shared" si="1"/>
        <v>49</v>
      </c>
      <c r="H17" s="1"/>
    </row>
    <row r="18" spans="2:8" x14ac:dyDescent="0.2">
      <c r="B18">
        <v>8</v>
      </c>
      <c r="C18">
        <v>1</v>
      </c>
      <c r="E18">
        <f t="shared" si="0"/>
        <v>8</v>
      </c>
      <c r="F18">
        <f t="shared" si="1"/>
        <v>64</v>
      </c>
      <c r="H18" s="1"/>
    </row>
    <row r="19" spans="2:8" x14ac:dyDescent="0.2">
      <c r="B19">
        <v>9</v>
      </c>
      <c r="C19">
        <v>1</v>
      </c>
      <c r="E19">
        <f t="shared" si="0"/>
        <v>9</v>
      </c>
      <c r="F19">
        <f t="shared" si="1"/>
        <v>81</v>
      </c>
      <c r="H19" s="1"/>
    </row>
    <row r="20" spans="2:8" x14ac:dyDescent="0.2">
      <c r="B20">
        <v>10</v>
      </c>
      <c r="C20">
        <v>0</v>
      </c>
      <c r="E20">
        <f t="shared" si="0"/>
        <v>0</v>
      </c>
      <c r="F20">
        <f t="shared" si="1"/>
        <v>0</v>
      </c>
      <c r="H20" s="1"/>
    </row>
    <row r="21" spans="2:8" x14ac:dyDescent="0.2">
      <c r="B21">
        <v>11</v>
      </c>
      <c r="C21">
        <v>0</v>
      </c>
      <c r="E21">
        <f t="shared" si="0"/>
        <v>0</v>
      </c>
      <c r="F21">
        <f t="shared" si="1"/>
        <v>0</v>
      </c>
      <c r="H21" s="1"/>
    </row>
    <row r="22" spans="2:8" x14ac:dyDescent="0.2">
      <c r="H22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Poisson</vt:lpstr>
      <vt:lpstr>Binomial</vt:lpstr>
      <vt:lpstr>NegBinom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FSiegmund</dc:creator>
  <cp:lastModifiedBy>Frank Siegmund</cp:lastModifiedBy>
  <dcterms:created xsi:type="dcterms:W3CDTF">2008-06-09T06:20:34Z</dcterms:created>
  <dcterms:modified xsi:type="dcterms:W3CDTF">2020-01-26T12:52:37Z</dcterms:modified>
</cp:coreProperties>
</file>